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byu-my.sharepoint.com/personal/kotterj_byu_edu/Documents/MRP/Workbooks/Lectures/"/>
    </mc:Choice>
  </mc:AlternateContent>
  <xr:revisionPtr revIDLastSave="141" documentId="11_2F1038FD3226359C3FAFA779DD5EA0C81953F202" xr6:coauthVersionLast="47" xr6:coauthVersionMax="47" xr10:uidLastSave="{9F1EBA1C-8064-0B49-942E-81C3CFBC8B27}"/>
  <bookViews>
    <workbookView xWindow="0" yWindow="660" windowWidth="29040" windowHeight="15720" xr2:uid="{00000000-000D-0000-FFFF-FFFF00000000}"/>
  </bookViews>
  <sheets>
    <sheet name="Pro forma (2)" sheetId="5" r:id="rId1"/>
    <sheet name="Pro forma" sheetId="1" r:id="rId2"/>
    <sheet name="Sheet1" sheetId="4" r:id="rId3"/>
    <sheet name="Income statements" sheetId="2" r:id="rId4"/>
    <sheet name="Balance sheets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5" l="1"/>
  <c r="E17" i="5"/>
  <c r="E15" i="5"/>
  <c r="D16" i="5"/>
  <c r="C22" i="5"/>
  <c r="D44" i="5" s="1"/>
  <c r="C21" i="5"/>
  <c r="C20" i="5"/>
  <c r="C19" i="5"/>
  <c r="C18" i="5"/>
  <c r="C17" i="5"/>
  <c r="C16" i="5"/>
  <c r="C15" i="5"/>
  <c r="C14" i="5"/>
  <c r="D14" i="5" s="1"/>
  <c r="E14" i="5" s="1"/>
  <c r="C13" i="5"/>
  <c r="C12" i="5"/>
  <c r="E11" i="5"/>
  <c r="C11" i="5"/>
  <c r="D10" i="5"/>
  <c r="C10" i="5"/>
  <c r="E9" i="5"/>
  <c r="C9" i="5"/>
  <c r="D9" i="5" s="1"/>
  <c r="C8" i="5"/>
  <c r="C7" i="5"/>
  <c r="E6" i="5"/>
  <c r="E25" i="5" s="1"/>
  <c r="C6" i="5"/>
  <c r="D6" i="5" s="1"/>
  <c r="D25" i="5" s="1"/>
  <c r="E11" i="1"/>
  <c r="D10" i="1"/>
  <c r="D29" i="1" s="1"/>
  <c r="C26" i="2"/>
  <c r="E29" i="3"/>
  <c r="D29" i="3"/>
  <c r="E28" i="3"/>
  <c r="C18" i="1" s="1"/>
  <c r="D28" i="3"/>
  <c r="E27" i="3"/>
  <c r="D27" i="3"/>
  <c r="C27" i="3"/>
  <c r="E24" i="3"/>
  <c r="C14" i="1" s="1"/>
  <c r="D14" i="1" s="1"/>
  <c r="E14" i="1" s="1"/>
  <c r="D24" i="3"/>
  <c r="C24" i="3"/>
  <c r="E21" i="3"/>
  <c r="C17" i="1" s="1"/>
  <c r="D17" i="1" s="1"/>
  <c r="D21" i="3"/>
  <c r="C21" i="3"/>
  <c r="E20" i="3"/>
  <c r="C16" i="1" s="1"/>
  <c r="D16" i="1" s="1"/>
  <c r="D20" i="3"/>
  <c r="C20" i="3"/>
  <c r="E19" i="3"/>
  <c r="C15" i="1" s="1"/>
  <c r="D19" i="3"/>
  <c r="C19" i="3"/>
  <c r="F19" i="3" s="1"/>
  <c r="E15" i="3"/>
  <c r="D15" i="3"/>
  <c r="C15" i="3"/>
  <c r="E10" i="3"/>
  <c r="E16" i="3" s="1"/>
  <c r="D10" i="3"/>
  <c r="D16" i="3" s="1"/>
  <c r="C10" i="3"/>
  <c r="C16" i="3" s="1"/>
  <c r="E26" i="2"/>
  <c r="C11" i="1" s="1"/>
  <c r="D26" i="2"/>
  <c r="F26" i="2"/>
  <c r="E25" i="2"/>
  <c r="D25" i="2"/>
  <c r="E21" i="2"/>
  <c r="C9" i="1" s="1"/>
  <c r="D9" i="1" s="1"/>
  <c r="D21" i="2"/>
  <c r="C21" i="2"/>
  <c r="E19" i="2"/>
  <c r="C8" i="1" s="1"/>
  <c r="D19" i="2"/>
  <c r="F19" i="2" s="1"/>
  <c r="C19" i="2"/>
  <c r="E18" i="2"/>
  <c r="C7" i="1" s="1"/>
  <c r="D18" i="2"/>
  <c r="E8" i="2"/>
  <c r="E11" i="2" s="1"/>
  <c r="E13" i="2" s="1"/>
  <c r="E22" i="2" s="1"/>
  <c r="C13" i="1" s="1"/>
  <c r="D8" i="2"/>
  <c r="D11" i="2" s="1"/>
  <c r="D13" i="2" s="1"/>
  <c r="C8" i="2"/>
  <c r="C20" i="2" s="1"/>
  <c r="C22" i="1"/>
  <c r="D44" i="1" s="1"/>
  <c r="C21" i="1"/>
  <c r="D21" i="1" s="1"/>
  <c r="C20" i="1"/>
  <c r="E20" i="1" s="1"/>
  <c r="C19" i="1"/>
  <c r="E19" i="1" s="1"/>
  <c r="C12" i="1"/>
  <c r="D12" i="1" s="1"/>
  <c r="D31" i="1" s="1"/>
  <c r="C10" i="1"/>
  <c r="C6" i="1"/>
  <c r="D6" i="1" s="1"/>
  <c r="D25" i="1" s="1"/>
  <c r="E21" i="5" l="1"/>
  <c r="E43" i="5" s="1"/>
  <c r="D21" i="5"/>
  <c r="D43" i="5" s="1"/>
  <c r="D20" i="5"/>
  <c r="E20" i="5"/>
  <c r="E19" i="5"/>
  <c r="D19" i="5"/>
  <c r="E13" i="5"/>
  <c r="D13" i="5"/>
  <c r="D12" i="5"/>
  <c r="D31" i="5" s="1"/>
  <c r="E12" i="5"/>
  <c r="E31" i="5" s="1"/>
  <c r="D29" i="5"/>
  <c r="E10" i="5"/>
  <c r="E29" i="5" s="1"/>
  <c r="D8" i="5"/>
  <c r="D26" i="5" s="1"/>
  <c r="D27" i="5" s="1"/>
  <c r="D30" i="5" s="1"/>
  <c r="D32" i="5" s="1"/>
  <c r="E8" i="5"/>
  <c r="E26" i="5" s="1"/>
  <c r="E27" i="5" s="1"/>
  <c r="E30" i="5" s="1"/>
  <c r="E32" i="5" s="1"/>
  <c r="E37" i="5"/>
  <c r="E38" i="5"/>
  <c r="E28" i="5"/>
  <c r="D37" i="5"/>
  <c r="D38" i="5"/>
  <c r="D28" i="5"/>
  <c r="E10" i="1"/>
  <c r="E29" i="1" s="1"/>
  <c r="E40" i="1" s="1"/>
  <c r="D20" i="1"/>
  <c r="D19" i="1"/>
  <c r="D40" i="1" s="1"/>
  <c r="D43" i="1"/>
  <c r="F20" i="3"/>
  <c r="F21" i="3"/>
  <c r="F24" i="3"/>
  <c r="D20" i="2"/>
  <c r="E20" i="2"/>
  <c r="F20" i="2"/>
  <c r="E12" i="1"/>
  <c r="E31" i="1" s="1"/>
  <c r="F21" i="2"/>
  <c r="E6" i="1"/>
  <c r="E25" i="1" s="1"/>
  <c r="C22" i="3"/>
  <c r="D22" i="3"/>
  <c r="E22" i="3"/>
  <c r="D8" i="1"/>
  <c r="D26" i="1" s="1"/>
  <c r="E8" i="1"/>
  <c r="D22" i="2"/>
  <c r="D15" i="2"/>
  <c r="D23" i="2" s="1"/>
  <c r="D37" i="1"/>
  <c r="D38" i="1"/>
  <c r="D28" i="1"/>
  <c r="E13" i="1"/>
  <c r="D13" i="1"/>
  <c r="E9" i="1"/>
  <c r="E21" i="1"/>
  <c r="E43" i="1" s="1"/>
  <c r="E15" i="2"/>
  <c r="E23" i="2" s="1"/>
  <c r="C11" i="2"/>
  <c r="C13" i="2" s="1"/>
  <c r="E39" i="5" l="1"/>
  <c r="E42" i="5"/>
  <c r="E33" i="5"/>
  <c r="E34" i="5" s="1"/>
  <c r="E45" i="5" s="1"/>
  <c r="D33" i="5"/>
  <c r="D34" i="5"/>
  <c r="D39" i="5"/>
  <c r="D41" i="5" s="1"/>
  <c r="D42" i="5"/>
  <c r="E40" i="5"/>
  <c r="E41" i="5"/>
  <c r="D40" i="5"/>
  <c r="E26" i="1"/>
  <c r="D27" i="1"/>
  <c r="F22" i="3"/>
  <c r="D30" i="1"/>
  <c r="D32" i="1" s="1"/>
  <c r="D33" i="1" s="1"/>
  <c r="D34" i="1" s="1"/>
  <c r="E37" i="1"/>
  <c r="E28" i="1"/>
  <c r="E38" i="1"/>
  <c r="C22" i="2"/>
  <c r="F22" i="2" s="1"/>
  <c r="C15" i="2"/>
  <c r="C23" i="2" s="1"/>
  <c r="F23" i="2" s="1"/>
  <c r="D39" i="1"/>
  <c r="D41" i="1" s="1"/>
  <c r="D42" i="1"/>
  <c r="E27" i="1"/>
  <c r="D45" i="5" l="1"/>
  <c r="D46" i="5" s="1"/>
  <c r="D47" i="5" s="1"/>
  <c r="B54" i="5" s="1"/>
  <c r="E49" i="5"/>
  <c r="E46" i="5"/>
  <c r="E47" i="5" s="1"/>
  <c r="E39" i="1"/>
  <c r="E41" i="1" s="1"/>
  <c r="E42" i="1"/>
  <c r="E30" i="1"/>
  <c r="E32" i="1" s="1"/>
  <c r="E33" i="1" s="1"/>
  <c r="E34" i="1" s="1"/>
  <c r="D45" i="1"/>
  <c r="E50" i="5" l="1"/>
  <c r="E51" i="5" s="1"/>
  <c r="E45" i="1"/>
  <c r="E46" i="1" s="1"/>
  <c r="E47" i="1" s="1"/>
  <c r="E49" i="1"/>
  <c r="D46" i="1"/>
  <c r="D47" i="1" s="1"/>
  <c r="B54" i="1" s="1"/>
  <c r="E50" i="1" l="1"/>
  <c r="E51" i="1" s="1"/>
</calcChain>
</file>

<file path=xl/sharedStrings.xml><?xml version="1.0" encoding="utf-8"?>
<sst xmlns="http://schemas.openxmlformats.org/spreadsheetml/2006/main" count="196" uniqueCount="116">
  <si>
    <t>Adom Fresh Foods — Year 4 Pro Forma</t>
  </si>
  <si>
    <t>GH₵ millions. Videos 3.4 and 3.6: change growth and collection days, watch the plug move.</t>
  </si>
  <si>
    <t>Year 3 actual</t>
  </si>
  <si>
    <t>Scenario A</t>
  </si>
  <si>
    <t>Scenario B</t>
  </si>
  <si>
    <t>Basis  (video 3.3's classification)</t>
  </si>
  <si>
    <t>ASSUMPTIONS  —  blue cells are judgements; black cells are linked to the history sheets</t>
  </si>
  <si>
    <t>Year 3 revenue</t>
  </si>
  <si>
    <t>Actual — the base every sales-driven line scales from</t>
  </si>
  <si>
    <t>Revenue growth</t>
  </si>
  <si>
    <t>Cost of goods sold, % of revenue</t>
  </si>
  <si>
    <t>SG&amp;A, % of revenue</t>
  </si>
  <si>
    <t>Depreciation</t>
  </si>
  <si>
    <t>Interest rate on opening debt</t>
  </si>
  <si>
    <t>Opening debt  (Year 3 closing, short + long-term)</t>
  </si>
  <si>
    <t>Linked — Year 3 closing balance sheet</t>
  </si>
  <si>
    <t>Tax rate</t>
  </si>
  <si>
    <t>Linked — Year 3 tax ÷ pretax income</t>
  </si>
  <si>
    <t>Operating cash, % of revenue</t>
  </si>
  <si>
    <t>Days sales outstanding</t>
  </si>
  <si>
    <t>Sales-driven — Year 3 days, rounded to whole days. B tightens to 40</t>
  </si>
  <si>
    <t>Days inventory outstanding</t>
  </si>
  <si>
    <t>Sales-driven — Year 3 days, rounded. B tightens to 35</t>
  </si>
  <si>
    <t>Days payable outstanding</t>
  </si>
  <si>
    <t>Sales-driven — Year 3 days, rounded. B stretches to 50</t>
  </si>
  <si>
    <t>Capital expenditure</t>
  </si>
  <si>
    <t>Policy — the capital plan; lumpy, so not a percent of sales (3.3)</t>
  </si>
  <si>
    <t>Opening net PP&amp;E  (Year 3 closing)</t>
  </si>
  <si>
    <t>Opening equity  (Year 3 closing)</t>
  </si>
  <si>
    <t>Short-term debt, held flat</t>
  </si>
  <si>
    <t>Policy — held at the Year 3 balance</t>
  </si>
  <si>
    <t>Year 3 closing long-term debt</t>
  </si>
  <si>
    <t>INCOME STATEMENT</t>
  </si>
  <si>
    <t>Revenue</t>
  </si>
  <si>
    <t>Cost of goods sold</t>
  </si>
  <si>
    <t>Gross profit</t>
  </si>
  <si>
    <t>Operating income</t>
  </si>
  <si>
    <t>Pretax income</t>
  </si>
  <si>
    <t>Tax</t>
  </si>
  <si>
    <t>Net income</t>
  </si>
  <si>
    <t>BALANCE SHEET</t>
  </si>
  <si>
    <t>Cash</t>
  </si>
  <si>
    <t>Inventory</t>
  </si>
  <si>
    <t>Net property and equipment</t>
  </si>
  <si>
    <t>TOTAL ASSETS</t>
  </si>
  <si>
    <t>Short-term debt</t>
  </si>
  <si>
    <t>Equity</t>
  </si>
  <si>
    <t>Subtotal</t>
  </si>
  <si>
    <t>Profit given up, B against A</t>
  </si>
  <si>
    <t>Financing relieved, B against A</t>
  </si>
  <si>
    <t>Cedis of relief per cedi of profit forgone</t>
  </si>
  <si>
    <t>TWO-WAY GRID  —  financing gap at 25% growth, DSO across, DIO down</t>
  </si>
  <si>
    <t>Adom Fresh Foods — Income Statements, Years 1 to 3</t>
  </si>
  <si>
    <t>GH₵ millions, actual. Costs entered as negatives so every subtotal is a sum.</t>
  </si>
  <si>
    <t>Year 1</t>
  </si>
  <si>
    <t>Year 2</t>
  </si>
  <si>
    <t>Year 3</t>
  </si>
  <si>
    <t>INCOME STATEMENT  —  actual</t>
  </si>
  <si>
    <t>Selling, general and administrative</t>
  </si>
  <si>
    <t>Interest</t>
  </si>
  <si>
    <t>RATIOS TO SALES  —  what the forecast borrows from history</t>
  </si>
  <si>
    <t>3-yr average</t>
  </si>
  <si>
    <t>Revenue growth on the prior year</t>
  </si>
  <si>
    <t>Cost of goods sold ÷ revenue</t>
  </si>
  <si>
    <t>Gross margin</t>
  </si>
  <si>
    <t>SG&amp;A ÷ revenue</t>
  </si>
  <si>
    <t>Depreciation ÷ opening net PP&amp;E</t>
  </si>
  <si>
    <t>Interest ÷ closing total debt</t>
  </si>
  <si>
    <t>Tax ÷ pretax income</t>
  </si>
  <si>
    <t>Net margin</t>
  </si>
  <si>
    <t>Video 3.2: average when a deviation looks like noise; use the most recent year when it</t>
  </si>
  <si>
    <t>looks like a trend. Cost of sales has been 85% in every year — the average and the recent</t>
  </si>
  <si>
    <t>figure agree. The pro forma links to the Year 3 column.</t>
  </si>
  <si>
    <t>Year 1's split of overhead into SG&amp;A 3.00 and depreciation 1.00 is a workbook figure; the</t>
  </si>
  <si>
    <t>course publishes Year 1 overhead only as a combined 4.00.</t>
  </si>
  <si>
    <t>Adom Fresh Foods — Balance Sheets, Years 1 to 3</t>
  </si>
  <si>
    <t>GH₵ millions, at year end. Year 1 is the balance sheet behind the published Year 1 ratios.</t>
  </si>
  <si>
    <t>BALANCE SHEET  —  actual</t>
  </si>
  <si>
    <t>Accounts receivable</t>
  </si>
  <si>
    <t>Accounts payable</t>
  </si>
  <si>
    <t>Long-term debt</t>
  </si>
  <si>
    <t>TOTAL CLAIMS</t>
  </si>
  <si>
    <t>Check: assets less claims</t>
  </si>
  <si>
    <t>WORKING CAPITAL IN DAYS  —  what the forecast borrows from history</t>
  </si>
  <si>
    <t>Days sales outstanding  =  receivables ÷ revenue × 365</t>
  </si>
  <si>
    <t>Days inventory outstanding  =  inventory ÷ cost of sales × 365</t>
  </si>
  <si>
    <t>Days payable outstanding  =  payables ÷ cost of sales × 365</t>
  </si>
  <si>
    <t>Cash conversion cycle  =  DSO + DIO − DPO</t>
  </si>
  <si>
    <t>Cash ÷ revenue</t>
  </si>
  <si>
    <t>MOVEMENTS  —  implied by the change in the balance sheet</t>
  </si>
  <si>
    <t>Total debt, short plus long-term</t>
  </si>
  <si>
    <t>Capital expenditure  =  closing PP&amp;E − opening PP&amp;E + depreciation</t>
  </si>
  <si>
    <t>Sustainable growth  =  retained profit ÷ opening equity  (video 3.5)</t>
  </si>
  <si>
    <t>Video 3.2: receivables were 8.25%, then 12.33%, then 16.50% of revenue. The three-year</t>
  </si>
  <si>
    <t>average is 12.36%. Nothing about that looks like a one-off, so the pro forma uses the Year 3</t>
  </si>
  <si>
    <t>day-counts, rounded to whole days — 60, 50 and 40.</t>
  </si>
  <si>
    <t>Sales-driven — Year 3 ratio</t>
  </si>
  <si>
    <t>Debt-driven — charged on the debt Adom already has</t>
  </si>
  <si>
    <t>Assumption — Year 3 level is all operating cash</t>
  </si>
  <si>
    <t>Asset-driven — 16.7% * net PP&amp;E in Year 3</t>
  </si>
  <si>
    <t>Assumption</t>
  </si>
  <si>
    <t>SG&amp;A (8.1% of sales)</t>
  </si>
  <si>
    <t>Cost of goods sold (85% of sales)</t>
  </si>
  <si>
    <t>Depreciation (16.7% of beginning net PP&amp;E)</t>
  </si>
  <si>
    <t>Interest  =  7% × opening debt</t>
  </si>
  <si>
    <t>Revenue (80.00 × 1.25)</t>
  </si>
  <si>
    <t>Tax = 25% × pretax income</t>
  </si>
  <si>
    <t>Net property and equipment (Beginning PPE + Capex - Depreciation)</t>
  </si>
  <si>
    <t>Equity (Beginning equity + Net Income - Dividends)</t>
  </si>
  <si>
    <t>Receivables (Revenue × Days Sales Outstanding/365)</t>
  </si>
  <si>
    <t xml:space="preserve">Cash (0.63% of revenue) </t>
  </si>
  <si>
    <t>Inventory (COGS × Days Inventory Outstanding/365)</t>
  </si>
  <si>
    <t>Payables (COGS × Days Payable Outstanding/365)</t>
  </si>
  <si>
    <t>Short-term debt (Constant)</t>
  </si>
  <si>
    <t>Original long-term debt</t>
  </si>
  <si>
    <t>FINANCING GAP  =   Liabilities + Equity -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</si>
</sst>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4" x14ac:knownFonts="1">
    <font>
      <sz val="11"/>
      <color theme="1"/>
      <name val="Calibri"/>
      <family val="2"/>
      <scheme val="minor"/>
    </font>
    <font>
      <b/>
      <sz val="15"/>
      <color rgb="FF0F5C43"/>
      <name val="Calibri"/>
      <family val="2"/>
    </font>
    <font>
      <i/>
      <sz val="10"/>
      <color rgb="FF6E7A74"/>
      <name val="Calibri"/>
      <family val="2"/>
    </font>
    <font>
      <b/>
      <sz val="10"/>
      <color rgb="FFFFFFFF"/>
      <name val="Calibri"/>
      <family val="2"/>
    </font>
    <font>
      <b/>
      <sz val="10"/>
      <color rgb="FF161C19"/>
      <name val="Calibri"/>
      <family val="2"/>
    </font>
    <font>
      <sz val="10"/>
      <color rgb="FF161C19"/>
      <name val="Calibri"/>
      <family val="2"/>
    </font>
    <font>
      <b/>
      <sz val="10"/>
      <color rgb="FF1F4E79"/>
      <name val="Calibri"/>
      <family val="2"/>
    </font>
    <font>
      <b/>
      <sz val="10"/>
      <color rgb="FF0F5C43"/>
      <name val="Calibri"/>
      <family val="2"/>
    </font>
    <font>
      <i/>
      <sz val="9"/>
      <color rgb="FF6E7A74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161C19"/>
      <name val="Calibri"/>
      <family val="2"/>
    </font>
    <font>
      <sz val="10"/>
      <color rgb="FF161C19"/>
      <name val="Calibri"/>
      <family val="2"/>
    </font>
    <font>
      <b/>
      <sz val="10"/>
      <color rgb="FF0F5C43"/>
      <name val="Calibri"/>
      <family val="2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F5C43"/>
      </patternFill>
    </fill>
    <fill>
      <patternFill patternType="solid">
        <fgColor rgb="FFF1E7C4"/>
      </patternFill>
    </fill>
    <fill>
      <patternFill patternType="solid">
        <fgColor rgb="FFDCE9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8A6A16"/>
      </bottom>
      <diagonal/>
    </border>
    <border>
      <left style="thin">
        <color rgb="FFBFC8C3"/>
      </left>
      <right style="thin">
        <color rgb="FFBFC8C3"/>
      </right>
      <top style="thin">
        <color rgb="FFBFC8C3"/>
      </top>
      <bottom style="thin">
        <color rgb="FFBFC8C3"/>
      </bottom>
      <diagonal/>
    </border>
    <border>
      <left/>
      <right/>
      <top style="thin">
        <color rgb="FF0F5C4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3" borderId="1" xfId="0" applyFont="1" applyFill="1" applyBorder="1"/>
    <xf numFmtId="0" fontId="0" fillId="3" borderId="1" xfId="0" applyFill="1" applyBorder="1"/>
    <xf numFmtId="0" fontId="5" fillId="0" borderId="0" xfId="0" applyFont="1"/>
    <xf numFmtId="4" fontId="5" fillId="0" borderId="0" xfId="0" applyNumberFormat="1" applyFont="1"/>
    <xf numFmtId="164" fontId="5" fillId="0" borderId="0" xfId="0" applyNumberFormat="1" applyFont="1"/>
    <xf numFmtId="164" fontId="6" fillId="4" borderId="2" xfId="0" applyNumberFormat="1" applyFont="1" applyFill="1" applyBorder="1"/>
    <xf numFmtId="4" fontId="6" fillId="4" borderId="2" xfId="0" applyNumberFormat="1" applyFont="1" applyFill="1" applyBorder="1"/>
    <xf numFmtId="165" fontId="5" fillId="0" borderId="0" xfId="0" applyNumberFormat="1" applyFont="1"/>
    <xf numFmtId="165" fontId="6" fillId="4" borderId="2" xfId="0" applyNumberFormat="1" applyFont="1" applyFill="1" applyBorder="1"/>
    <xf numFmtId="4" fontId="7" fillId="0" borderId="3" xfId="0" applyNumberFormat="1" applyFont="1" applyBorder="1"/>
    <xf numFmtId="165" fontId="7" fillId="0" borderId="3" xfId="0" applyNumberFormat="1" applyFont="1" applyBorder="1"/>
    <xf numFmtId="0" fontId="8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10" fontId="5" fillId="0" borderId="0" xfId="0" applyNumberFormat="1" applyFont="1"/>
    <xf numFmtId="0" fontId="10" fillId="0" borderId="0" xfId="0" applyFont="1"/>
    <xf numFmtId="0" fontId="9" fillId="0" borderId="0" xfId="0" applyFont="1"/>
    <xf numFmtId="4" fontId="10" fillId="0" borderId="0" xfId="0" applyNumberFormat="1" applyFont="1"/>
    <xf numFmtId="0" fontId="11" fillId="0" borderId="0" xfId="0" applyFont="1"/>
    <xf numFmtId="4" fontId="12" fillId="0" borderId="3" xfId="0" applyNumberFormat="1" applyFont="1" applyBorder="1"/>
    <xf numFmtId="4" fontId="13" fillId="0" borderId="3" xfId="0" applyNumberFormat="1" applyFont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838B-ED90-4529-AED6-248F674CE726}">
  <dimension ref="B1:G57"/>
  <sheetViews>
    <sheetView showGridLines="0" tabSelected="1" topLeftCell="A38" zoomScale="175" zoomScaleNormal="175" workbookViewId="0">
      <selection activeCell="E46" sqref="E46"/>
    </sheetView>
  </sheetViews>
  <sheetFormatPr baseColWidth="10" defaultColWidth="8.83203125" defaultRowHeight="15" x14ac:dyDescent="0.2"/>
  <cols>
    <col min="2" max="2" width="46" customWidth="1"/>
    <col min="3" max="3" width="14" customWidth="1"/>
    <col min="4" max="4" width="14.83203125" customWidth="1"/>
    <col min="5" max="5" width="14" customWidth="1"/>
    <col min="6" max="6" width="58" customWidth="1"/>
  </cols>
  <sheetData>
    <row r="1" spans="2:6" ht="20" x14ac:dyDescent="0.25">
      <c r="B1" s="1" t="s">
        <v>0</v>
      </c>
    </row>
    <row r="2" spans="2:6" x14ac:dyDescent="0.2">
      <c r="B2" s="2" t="s">
        <v>1</v>
      </c>
    </row>
    <row r="4" spans="2:6" x14ac:dyDescent="0.2">
      <c r="C4" s="3" t="s">
        <v>2</v>
      </c>
      <c r="D4" s="3" t="s">
        <v>3</v>
      </c>
      <c r="E4" s="3" t="s">
        <v>4</v>
      </c>
      <c r="F4" s="4" t="s">
        <v>5</v>
      </c>
    </row>
    <row r="5" spans="2:6" x14ac:dyDescent="0.2">
      <c r="B5" s="5" t="s">
        <v>6</v>
      </c>
      <c r="C5" s="6"/>
      <c r="D5" s="6"/>
      <c r="E5" s="6"/>
      <c r="F5" s="6"/>
    </row>
    <row r="6" spans="2:6" x14ac:dyDescent="0.2">
      <c r="B6" s="7" t="s">
        <v>7</v>
      </c>
      <c r="C6" s="8">
        <f>'Income statements'!E6</f>
        <v>80</v>
      </c>
      <c r="D6" s="8">
        <f>$C6</f>
        <v>80</v>
      </c>
      <c r="E6" s="8">
        <f>$C6</f>
        <v>80</v>
      </c>
      <c r="F6" s="2" t="s">
        <v>8</v>
      </c>
    </row>
    <row r="7" spans="2:6" x14ac:dyDescent="0.2">
      <c r="B7" s="7" t="s">
        <v>9</v>
      </c>
      <c r="C7" s="9">
        <f>'Income statements'!E18</f>
        <v>0.33333333333333326</v>
      </c>
      <c r="D7" s="10">
        <v>0.25</v>
      </c>
      <c r="E7" s="10">
        <v>0.15</v>
      </c>
      <c r="F7" s="2" t="s">
        <v>100</v>
      </c>
    </row>
    <row r="8" spans="2:6" x14ac:dyDescent="0.2">
      <c r="B8" s="7" t="s">
        <v>10</v>
      </c>
      <c r="C8" s="9">
        <f>'Income statements'!E19</f>
        <v>0.85</v>
      </c>
      <c r="D8" s="9">
        <f>$C8</f>
        <v>0.85</v>
      </c>
      <c r="E8" s="9">
        <f>$C8</f>
        <v>0.85</v>
      </c>
      <c r="F8" s="2" t="s">
        <v>96</v>
      </c>
    </row>
    <row r="9" spans="2:6" x14ac:dyDescent="0.2">
      <c r="B9" s="7" t="s">
        <v>11</v>
      </c>
      <c r="C9" s="9">
        <f>'Income statements'!E21</f>
        <v>8.1250000000000003E-2</v>
      </c>
      <c r="D9" s="9">
        <f>C9</f>
        <v>8.1250000000000003E-2</v>
      </c>
      <c r="E9" s="9">
        <f>ROUND($C9,3)</f>
        <v>8.1000000000000003E-2</v>
      </c>
      <c r="F9" s="2" t="s">
        <v>96</v>
      </c>
    </row>
    <row r="10" spans="2:6" x14ac:dyDescent="0.2">
      <c r="B10" s="7" t="s">
        <v>12</v>
      </c>
      <c r="C10" s="8">
        <f>-'Income statements'!E10</f>
        <v>1.5</v>
      </c>
      <c r="D10" s="8">
        <f>16.7%*'Balance sheets'!E9</f>
        <v>1.8369999999999997</v>
      </c>
      <c r="E10" s="8">
        <f>D10</f>
        <v>1.8369999999999997</v>
      </c>
      <c r="F10" s="2" t="s">
        <v>99</v>
      </c>
    </row>
    <row r="11" spans="2:6" x14ac:dyDescent="0.2">
      <c r="B11" s="7" t="s">
        <v>13</v>
      </c>
      <c r="C11" s="9">
        <f>'Income statements'!E26</f>
        <v>7.2727272727272724E-2</v>
      </c>
      <c r="D11" s="8">
        <v>7.2999999999999995E-2</v>
      </c>
      <c r="E11" s="8">
        <f>D11</f>
        <v>7.2999999999999995E-2</v>
      </c>
      <c r="F11" s="2" t="s">
        <v>97</v>
      </c>
    </row>
    <row r="12" spans="2:6" x14ac:dyDescent="0.2">
      <c r="B12" s="7" t="s">
        <v>14</v>
      </c>
      <c r="C12" s="8">
        <f>'Balance sheets'!E27</f>
        <v>16.5</v>
      </c>
      <c r="D12" s="8">
        <f>$C12</f>
        <v>16.5</v>
      </c>
      <c r="E12" s="8">
        <f>$C12</f>
        <v>16.5</v>
      </c>
      <c r="F12" s="2" t="s">
        <v>15</v>
      </c>
    </row>
    <row r="13" spans="2:6" x14ac:dyDescent="0.2">
      <c r="B13" s="7" t="s">
        <v>16</v>
      </c>
      <c r="C13" s="9">
        <f>'Income statements'!E22</f>
        <v>0.25</v>
      </c>
      <c r="D13" s="9">
        <f>$C13</f>
        <v>0.25</v>
      </c>
      <c r="E13" s="9">
        <f>$C13</f>
        <v>0.25</v>
      </c>
      <c r="F13" s="2" t="s">
        <v>17</v>
      </c>
    </row>
    <row r="14" spans="2:6" x14ac:dyDescent="0.2">
      <c r="B14" s="7" t="s">
        <v>18</v>
      </c>
      <c r="C14" s="9">
        <f>'Balance sheets'!E24</f>
        <v>6.2500000000000003E-3</v>
      </c>
      <c r="D14" s="9">
        <f>C14</f>
        <v>6.2500000000000003E-3</v>
      </c>
      <c r="E14" s="9">
        <f>D14</f>
        <v>6.2500000000000003E-3</v>
      </c>
      <c r="F14" s="2" t="s">
        <v>98</v>
      </c>
    </row>
    <row r="15" spans="2:6" x14ac:dyDescent="0.2">
      <c r="B15" s="7" t="s">
        <v>19</v>
      </c>
      <c r="C15" s="12">
        <f>'Balance sheets'!E19</f>
        <v>60.224999999999994</v>
      </c>
      <c r="D15" s="13">
        <v>60.2</v>
      </c>
      <c r="E15" s="13">
        <f>D15</f>
        <v>60.2</v>
      </c>
      <c r="F15" s="2" t="s">
        <v>20</v>
      </c>
    </row>
    <row r="16" spans="2:6" x14ac:dyDescent="0.2">
      <c r="B16" s="7" t="s">
        <v>21</v>
      </c>
      <c r="C16" s="12">
        <f>'Balance sheets'!E20</f>
        <v>49.919117647058826</v>
      </c>
      <c r="D16" s="13">
        <f>49.9</f>
        <v>49.9</v>
      </c>
      <c r="E16" s="13">
        <f t="shared" ref="E16:E17" si="0">D16</f>
        <v>49.9</v>
      </c>
      <c r="F16" s="2" t="s">
        <v>22</v>
      </c>
    </row>
    <row r="17" spans="2:6" x14ac:dyDescent="0.2">
      <c r="B17" s="7" t="s">
        <v>23</v>
      </c>
      <c r="C17" s="12">
        <f>'Balance sheets'!E21</f>
        <v>40.257352941176471</v>
      </c>
      <c r="D17" s="13">
        <v>40.299999999999997</v>
      </c>
      <c r="E17" s="13">
        <f t="shared" si="0"/>
        <v>40.299999999999997</v>
      </c>
      <c r="F17" s="2" t="s">
        <v>24</v>
      </c>
    </row>
    <row r="18" spans="2:6" x14ac:dyDescent="0.2">
      <c r="B18" s="7" t="s">
        <v>25</v>
      </c>
      <c r="C18" s="8">
        <f>'Balance sheets'!E28</f>
        <v>3.5</v>
      </c>
      <c r="D18" s="11">
        <v>4.3</v>
      </c>
      <c r="E18" s="11">
        <v>4.3</v>
      </c>
      <c r="F18" s="2" t="s">
        <v>26</v>
      </c>
    </row>
    <row r="19" spans="2:6" x14ac:dyDescent="0.2">
      <c r="B19" s="7" t="s">
        <v>27</v>
      </c>
      <c r="C19" s="8">
        <f>'Balance sheets'!E9</f>
        <v>11</v>
      </c>
      <c r="D19" s="8">
        <f>C19</f>
        <v>11</v>
      </c>
      <c r="E19" s="8">
        <f t="shared" ref="E19:E21" si="1">$C19</f>
        <v>11</v>
      </c>
      <c r="F19" s="2" t="s">
        <v>15</v>
      </c>
    </row>
    <row r="20" spans="2:6" x14ac:dyDescent="0.2">
      <c r="B20" s="7" t="s">
        <v>28</v>
      </c>
      <c r="C20" s="8">
        <f>'Balance sheets'!E14</f>
        <v>10</v>
      </c>
      <c r="D20" s="8">
        <f>C20</f>
        <v>10</v>
      </c>
      <c r="E20" s="8">
        <f t="shared" si="1"/>
        <v>10</v>
      </c>
      <c r="F20" s="2" t="s">
        <v>15</v>
      </c>
    </row>
    <row r="21" spans="2:6" x14ac:dyDescent="0.2">
      <c r="B21" s="7" t="s">
        <v>29</v>
      </c>
      <c r="C21" s="8">
        <f>'Balance sheets'!E12</f>
        <v>5</v>
      </c>
      <c r="D21" s="8">
        <f>C21</f>
        <v>5</v>
      </c>
      <c r="E21" s="8">
        <f t="shared" si="1"/>
        <v>5</v>
      </c>
      <c r="F21" s="2" t="s">
        <v>30</v>
      </c>
    </row>
    <row r="22" spans="2:6" x14ac:dyDescent="0.2">
      <c r="B22" s="7" t="s">
        <v>31</v>
      </c>
      <c r="C22" s="8">
        <f>'Balance sheets'!E13</f>
        <v>11.5</v>
      </c>
      <c r="D22" s="8"/>
      <c r="E22" s="8"/>
      <c r="F22" s="2"/>
    </row>
    <row r="24" spans="2:6" x14ac:dyDescent="0.2">
      <c r="B24" s="5" t="s">
        <v>32</v>
      </c>
      <c r="C24" s="6"/>
      <c r="D24" s="6"/>
      <c r="E24" s="6"/>
      <c r="F24" s="6"/>
    </row>
    <row r="25" spans="2:6" x14ac:dyDescent="0.2">
      <c r="B25" s="23" t="s">
        <v>105</v>
      </c>
      <c r="D25" s="8">
        <f>D6*(1+D7)</f>
        <v>100</v>
      </c>
      <c r="E25" s="8">
        <f>E6*(1+E7)</f>
        <v>92</v>
      </c>
    </row>
    <row r="26" spans="2:6" x14ac:dyDescent="0.2">
      <c r="B26" s="23" t="s">
        <v>102</v>
      </c>
      <c r="D26" s="8">
        <f>-D25*D8</f>
        <v>-85</v>
      </c>
      <c r="E26" s="8">
        <f>-E25*E8</f>
        <v>-78.2</v>
      </c>
    </row>
    <row r="27" spans="2:6" x14ac:dyDescent="0.2">
      <c r="B27" s="20" t="s">
        <v>35</v>
      </c>
      <c r="C27" s="21"/>
      <c r="D27" s="22">
        <f>D25+D26</f>
        <v>15</v>
      </c>
      <c r="E27" s="8">
        <f>E25+E26</f>
        <v>13.799999999999997</v>
      </c>
    </row>
    <row r="28" spans="2:6" x14ac:dyDescent="0.2">
      <c r="B28" s="23" t="s">
        <v>101</v>
      </c>
      <c r="D28" s="8">
        <f>-D25*D9</f>
        <v>-8.125</v>
      </c>
      <c r="E28" s="8">
        <f>-E25*E9</f>
        <v>-7.452</v>
      </c>
    </row>
    <row r="29" spans="2:6" x14ac:dyDescent="0.2">
      <c r="B29" s="23" t="s">
        <v>103</v>
      </c>
      <c r="D29" s="8">
        <f>-D10</f>
        <v>-1.8369999999999997</v>
      </c>
      <c r="E29" s="8">
        <f>-E10</f>
        <v>-1.8369999999999997</v>
      </c>
    </row>
    <row r="30" spans="2:6" x14ac:dyDescent="0.2">
      <c r="B30" s="20" t="s">
        <v>36</v>
      </c>
      <c r="C30" s="21"/>
      <c r="D30" s="24">
        <f>D27+D28+D29</f>
        <v>5.0380000000000003</v>
      </c>
      <c r="E30" s="14">
        <f>E27+E28+E29</f>
        <v>4.5109999999999975</v>
      </c>
    </row>
    <row r="31" spans="2:6" x14ac:dyDescent="0.2">
      <c r="B31" s="23" t="s">
        <v>104</v>
      </c>
      <c r="D31" s="8">
        <f>-D11*D12</f>
        <v>-1.2044999999999999</v>
      </c>
      <c r="E31" s="8">
        <f>-E11*E12</f>
        <v>-1.2044999999999999</v>
      </c>
    </row>
    <row r="32" spans="2:6" x14ac:dyDescent="0.2">
      <c r="B32" s="20" t="s">
        <v>37</v>
      </c>
      <c r="C32" s="21"/>
      <c r="D32" s="22">
        <f>D30+D31</f>
        <v>3.8335000000000004</v>
      </c>
      <c r="E32" s="8">
        <f>E30+E31</f>
        <v>3.3064999999999976</v>
      </c>
    </row>
    <row r="33" spans="2:6" x14ac:dyDescent="0.2">
      <c r="B33" s="23" t="s">
        <v>106</v>
      </c>
      <c r="D33" s="8">
        <f>-D32*D13</f>
        <v>-0.95837500000000009</v>
      </c>
      <c r="E33" s="8">
        <f>-E32*E13</f>
        <v>-0.82662499999999939</v>
      </c>
    </row>
    <row r="34" spans="2:6" x14ac:dyDescent="0.2">
      <c r="B34" s="20" t="s">
        <v>39</v>
      </c>
      <c r="D34" s="14">
        <f>D32+D33</f>
        <v>2.8751250000000002</v>
      </c>
      <c r="E34" s="14">
        <f>E32+E33</f>
        <v>2.4798749999999981</v>
      </c>
    </row>
    <row r="36" spans="2:6" x14ac:dyDescent="0.2">
      <c r="B36" s="5" t="s">
        <v>40</v>
      </c>
      <c r="C36" s="6"/>
      <c r="D36" s="6"/>
      <c r="E36" s="6"/>
      <c r="F36" s="6"/>
    </row>
    <row r="37" spans="2:6" x14ac:dyDescent="0.2">
      <c r="B37" s="23" t="s">
        <v>110</v>
      </c>
      <c r="D37" s="8">
        <f>D25*D14</f>
        <v>0.625</v>
      </c>
      <c r="E37" s="8">
        <f>E25*E14</f>
        <v>0.57500000000000007</v>
      </c>
    </row>
    <row r="38" spans="2:6" x14ac:dyDescent="0.2">
      <c r="B38" s="23" t="s">
        <v>109</v>
      </c>
      <c r="D38" s="8">
        <f>D25*D15/365</f>
        <v>16.493150684931507</v>
      </c>
      <c r="E38" s="8">
        <f>E25*E15/365</f>
        <v>15.173698630136988</v>
      </c>
    </row>
    <row r="39" spans="2:6" x14ac:dyDescent="0.2">
      <c r="B39" s="23" t="s">
        <v>111</v>
      </c>
      <c r="D39" s="8">
        <f>-D26*D16/365</f>
        <v>11.62054794520548</v>
      </c>
      <c r="E39" s="8">
        <f>-E26*E16/365</f>
        <v>10.69090410958904</v>
      </c>
    </row>
    <row r="40" spans="2:6" x14ac:dyDescent="0.2">
      <c r="B40" s="23" t="s">
        <v>107</v>
      </c>
      <c r="D40" s="8">
        <f>D19+D18+D29</f>
        <v>13.463000000000001</v>
      </c>
      <c r="E40" s="8">
        <f>E19+E18+E29</f>
        <v>13.463000000000001</v>
      </c>
    </row>
    <row r="41" spans="2:6" x14ac:dyDescent="0.2">
      <c r="B41" s="20" t="s">
        <v>44</v>
      </c>
      <c r="D41" s="14">
        <f>SUM(D37:D40)</f>
        <v>42.201698630136988</v>
      </c>
      <c r="E41" s="14">
        <f>SUM(E37:E40)</f>
        <v>39.902602739726028</v>
      </c>
    </row>
    <row r="42" spans="2:6" x14ac:dyDescent="0.2">
      <c r="B42" s="23" t="s">
        <v>112</v>
      </c>
      <c r="D42" s="8">
        <f>-D26*D17/365</f>
        <v>9.3849315068493144</v>
      </c>
      <c r="E42" s="8">
        <f>-E26*E17/365</f>
        <v>8.6341369863013693</v>
      </c>
    </row>
    <row r="43" spans="2:6" x14ac:dyDescent="0.2">
      <c r="B43" s="23" t="s">
        <v>113</v>
      </c>
      <c r="D43" s="8">
        <f>D21</f>
        <v>5</v>
      </c>
      <c r="E43" s="8">
        <f>E21</f>
        <v>5</v>
      </c>
    </row>
    <row r="44" spans="2:6" x14ac:dyDescent="0.2">
      <c r="B44" s="23" t="s">
        <v>114</v>
      </c>
      <c r="D44" s="8">
        <f>C22</f>
        <v>11.5</v>
      </c>
      <c r="E44" s="8">
        <v>11.5</v>
      </c>
    </row>
    <row r="45" spans="2:6" x14ac:dyDescent="0.2">
      <c r="B45" s="23" t="s">
        <v>108</v>
      </c>
      <c r="D45" s="8">
        <f>D20+D34</f>
        <v>12.875125000000001</v>
      </c>
      <c r="E45" s="8">
        <f>E20+E34</f>
        <v>12.479874999999998</v>
      </c>
    </row>
    <row r="46" spans="2:6" x14ac:dyDescent="0.2">
      <c r="B46" s="7" t="s">
        <v>47</v>
      </c>
      <c r="D46" s="8">
        <f>SUM(D42:D45)</f>
        <v>38.76005650684931</v>
      </c>
      <c r="E46" s="8">
        <f>SUM(E42:E45)</f>
        <v>37.614011986301371</v>
      </c>
    </row>
    <row r="47" spans="2:6" x14ac:dyDescent="0.2">
      <c r="B47" s="23" t="s">
        <v>115</v>
      </c>
      <c r="D47" s="25">
        <f>D46-D41</f>
        <v>-3.4416421232876786</v>
      </c>
      <c r="E47" s="14">
        <f>E41-E46</f>
        <v>2.288590753424657</v>
      </c>
    </row>
    <row r="49" spans="2:7" x14ac:dyDescent="0.2">
      <c r="B49" s="7" t="s">
        <v>48</v>
      </c>
      <c r="E49" s="8">
        <f>D34-E34</f>
        <v>0.3952500000000021</v>
      </c>
    </row>
    <row r="50" spans="2:7" x14ac:dyDescent="0.2">
      <c r="B50" s="7" t="s">
        <v>49</v>
      </c>
      <c r="E50" s="8">
        <f>E47-D47</f>
        <v>5.7302328767123356</v>
      </c>
    </row>
    <row r="51" spans="2:7" x14ac:dyDescent="0.2">
      <c r="B51" s="7" t="s">
        <v>50</v>
      </c>
      <c r="E51" s="15">
        <f>E50/E49</f>
        <v>14.497742888582682</v>
      </c>
    </row>
    <row r="53" spans="2:7" x14ac:dyDescent="0.2">
      <c r="B53" s="5" t="s">
        <v>51</v>
      </c>
      <c r="C53" s="6"/>
      <c r="D53" s="6"/>
      <c r="E53" s="6"/>
      <c r="F53" s="6"/>
    </row>
    <row r="54" spans="2:7" x14ac:dyDescent="0.2">
      <c r="B54" s="26">
        <f>D47</f>
        <v>-3.4416421232876786</v>
      </c>
      <c r="C54">
        <v>70</v>
      </c>
      <c r="D54">
        <v>60</v>
      </c>
      <c r="E54">
        <v>50</v>
      </c>
      <c r="F54">
        <v>50</v>
      </c>
      <c r="G54">
        <v>40</v>
      </c>
    </row>
    <row r="55" spans="2:7" x14ac:dyDescent="0.2">
      <c r="B55">
        <v>60</v>
      </c>
      <c r="C55" s="26">
        <f t="dataTable" ref="C55:G57" dt2D="1" dtr="1" r1="D16" r2="D15"/>
        <v>-8.0676695205479518</v>
      </c>
      <c r="D55" s="26">
        <v>-5.7389023972602828</v>
      </c>
      <c r="E55" s="26">
        <v>-3.4101352739726138</v>
      </c>
      <c r="F55">
        <v>-3.4101352739726138</v>
      </c>
      <c r="G55">
        <v>-1.0813681506849377</v>
      </c>
    </row>
    <row r="56" spans="2:7" x14ac:dyDescent="0.2">
      <c r="B56">
        <v>50</v>
      </c>
      <c r="C56" s="26">
        <v>-5.3279434931506913</v>
      </c>
      <c r="D56" s="26">
        <v>-2.9991763698630223</v>
      </c>
      <c r="E56" s="26">
        <v>-0.67040924657534617</v>
      </c>
      <c r="F56">
        <v>-0.67040924657534617</v>
      </c>
      <c r="G56">
        <v>1.6583578767123228</v>
      </c>
    </row>
    <row r="57" spans="2:7" x14ac:dyDescent="0.2">
      <c r="B57">
        <v>40</v>
      </c>
      <c r="C57" s="26">
        <v>-2.5882174657534307</v>
      </c>
      <c r="D57" s="26">
        <v>-0.25945034246576171</v>
      </c>
      <c r="E57" s="26">
        <v>2.0693167808219144</v>
      </c>
      <c r="F57">
        <v>2.0693167808219144</v>
      </c>
      <c r="G57">
        <v>4.3980839041095834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7"/>
  <sheetViews>
    <sheetView showGridLines="0" topLeftCell="A18" zoomScale="145" zoomScaleNormal="145" workbookViewId="0">
      <selection activeCell="A18" sqref="A1:XFD1048576"/>
    </sheetView>
  </sheetViews>
  <sheetFormatPr baseColWidth="10" defaultColWidth="8.83203125" defaultRowHeight="15" x14ac:dyDescent="0.2"/>
  <cols>
    <col min="2" max="2" width="46" customWidth="1"/>
    <col min="3" max="3" width="14" customWidth="1"/>
    <col min="4" max="4" width="14.83203125" customWidth="1"/>
    <col min="5" max="5" width="14" customWidth="1"/>
    <col min="6" max="6" width="58" customWidth="1"/>
  </cols>
  <sheetData>
    <row r="1" spans="2:6" ht="20" x14ac:dyDescent="0.25">
      <c r="B1" s="1" t="s">
        <v>0</v>
      </c>
    </row>
    <row r="2" spans="2:6" x14ac:dyDescent="0.2">
      <c r="B2" s="2" t="s">
        <v>1</v>
      </c>
    </row>
    <row r="4" spans="2:6" x14ac:dyDescent="0.2">
      <c r="C4" s="3" t="s">
        <v>2</v>
      </c>
      <c r="D4" s="3" t="s">
        <v>3</v>
      </c>
      <c r="E4" s="3" t="s">
        <v>4</v>
      </c>
      <c r="F4" s="4" t="s">
        <v>5</v>
      </c>
    </row>
    <row r="5" spans="2:6" x14ac:dyDescent="0.2">
      <c r="B5" s="5" t="s">
        <v>6</v>
      </c>
      <c r="C5" s="6"/>
      <c r="D5" s="6"/>
      <c r="E5" s="6"/>
      <c r="F5" s="6"/>
    </row>
    <row r="6" spans="2:6" x14ac:dyDescent="0.2">
      <c r="B6" s="7" t="s">
        <v>7</v>
      </c>
      <c r="C6" s="8">
        <f>'Income statements'!E6</f>
        <v>80</v>
      </c>
      <c r="D6" s="8">
        <f>$C6</f>
        <v>80</v>
      </c>
      <c r="E6" s="8">
        <f>$C6</f>
        <v>80</v>
      </c>
      <c r="F6" s="2" t="s">
        <v>8</v>
      </c>
    </row>
    <row r="7" spans="2:6" x14ac:dyDescent="0.2">
      <c r="B7" s="7" t="s">
        <v>9</v>
      </c>
      <c r="C7" s="9">
        <f>'Income statements'!E18</f>
        <v>0.33333333333333326</v>
      </c>
      <c r="D7" s="10">
        <v>0.25</v>
      </c>
      <c r="E7" s="10">
        <v>0.15</v>
      </c>
      <c r="F7" s="2" t="s">
        <v>100</v>
      </c>
    </row>
    <row r="8" spans="2:6" x14ac:dyDescent="0.2">
      <c r="B8" s="7" t="s">
        <v>10</v>
      </c>
      <c r="C8" s="9">
        <f>'Income statements'!E19</f>
        <v>0.85</v>
      </c>
      <c r="D8" s="9">
        <f>$C8</f>
        <v>0.85</v>
      </c>
      <c r="E8" s="9">
        <f>$C8</f>
        <v>0.85</v>
      </c>
      <c r="F8" s="2" t="s">
        <v>96</v>
      </c>
    </row>
    <row r="9" spans="2:6" x14ac:dyDescent="0.2">
      <c r="B9" s="7" t="s">
        <v>11</v>
      </c>
      <c r="C9" s="9">
        <f>'Income statements'!E21</f>
        <v>8.1250000000000003E-2</v>
      </c>
      <c r="D9" s="9">
        <f>C9</f>
        <v>8.1250000000000003E-2</v>
      </c>
      <c r="E9" s="9">
        <f>ROUND($C9,3)</f>
        <v>8.1000000000000003E-2</v>
      </c>
      <c r="F9" s="2" t="s">
        <v>96</v>
      </c>
    </row>
    <row r="10" spans="2:6" x14ac:dyDescent="0.2">
      <c r="B10" s="7" t="s">
        <v>12</v>
      </c>
      <c r="C10" s="8">
        <f>-'Income statements'!E10</f>
        <v>1.5</v>
      </c>
      <c r="D10" s="8">
        <f>16.7%*'Balance sheets'!E9</f>
        <v>1.8369999999999997</v>
      </c>
      <c r="E10" s="8">
        <f>D10</f>
        <v>1.8369999999999997</v>
      </c>
      <c r="F10" s="2" t="s">
        <v>99</v>
      </c>
    </row>
    <row r="11" spans="2:6" x14ac:dyDescent="0.2">
      <c r="B11" s="7" t="s">
        <v>13</v>
      </c>
      <c r="C11" s="9">
        <f>'Income statements'!E26</f>
        <v>7.2727272727272724E-2</v>
      </c>
      <c r="D11" s="8">
        <v>7.2999999999999995E-2</v>
      </c>
      <c r="E11" s="8">
        <f>D11</f>
        <v>7.2999999999999995E-2</v>
      </c>
      <c r="F11" s="2" t="s">
        <v>97</v>
      </c>
    </row>
    <row r="12" spans="2:6" x14ac:dyDescent="0.2">
      <c r="B12" s="7" t="s">
        <v>14</v>
      </c>
      <c r="C12" s="8">
        <f>'Balance sheets'!E27</f>
        <v>16.5</v>
      </c>
      <c r="D12" s="8">
        <f>$C12</f>
        <v>16.5</v>
      </c>
      <c r="E12" s="8">
        <f>$C12</f>
        <v>16.5</v>
      </c>
      <c r="F12" s="2" t="s">
        <v>15</v>
      </c>
    </row>
    <row r="13" spans="2:6" x14ac:dyDescent="0.2">
      <c r="B13" s="7" t="s">
        <v>16</v>
      </c>
      <c r="C13" s="9">
        <f>'Income statements'!E22</f>
        <v>0.25</v>
      </c>
      <c r="D13" s="9">
        <f>$C13</f>
        <v>0.25</v>
      </c>
      <c r="E13" s="9">
        <f>$C13</f>
        <v>0.25</v>
      </c>
      <c r="F13" s="2" t="s">
        <v>17</v>
      </c>
    </row>
    <row r="14" spans="2:6" x14ac:dyDescent="0.2">
      <c r="B14" s="7" t="s">
        <v>18</v>
      </c>
      <c r="C14" s="9">
        <f>'Balance sheets'!E24</f>
        <v>6.2500000000000003E-3</v>
      </c>
      <c r="D14" s="9">
        <f>C14</f>
        <v>6.2500000000000003E-3</v>
      </c>
      <c r="E14" s="9">
        <f>D14</f>
        <v>6.2500000000000003E-3</v>
      </c>
      <c r="F14" s="2" t="s">
        <v>98</v>
      </c>
    </row>
    <row r="15" spans="2:6" x14ac:dyDescent="0.2">
      <c r="B15" s="7" t="s">
        <v>19</v>
      </c>
      <c r="C15" s="12">
        <f>'Balance sheets'!E19</f>
        <v>60.224999999999994</v>
      </c>
      <c r="D15" s="13">
        <v>40</v>
      </c>
      <c r="E15" s="13">
        <v>40</v>
      </c>
      <c r="F15" s="2" t="s">
        <v>20</v>
      </c>
    </row>
    <row r="16" spans="2:6" x14ac:dyDescent="0.2">
      <c r="B16" s="7" t="s">
        <v>21</v>
      </c>
      <c r="C16" s="12">
        <f>'Balance sheets'!E20</f>
        <v>49.919117647058826</v>
      </c>
      <c r="D16" s="13">
        <f>C16</f>
        <v>49.919117647058826</v>
      </c>
      <c r="E16" s="13">
        <v>35</v>
      </c>
      <c r="F16" s="2" t="s">
        <v>22</v>
      </c>
    </row>
    <row r="17" spans="2:6" x14ac:dyDescent="0.2">
      <c r="B17" s="7" t="s">
        <v>23</v>
      </c>
      <c r="C17" s="12">
        <f>'Balance sheets'!E21</f>
        <v>40.257352941176471</v>
      </c>
      <c r="D17" s="13">
        <f>C17</f>
        <v>40.257352941176471</v>
      </c>
      <c r="E17" s="13">
        <v>50</v>
      </c>
      <c r="F17" s="2" t="s">
        <v>24</v>
      </c>
    </row>
    <row r="18" spans="2:6" x14ac:dyDescent="0.2">
      <c r="B18" s="7" t="s">
        <v>25</v>
      </c>
      <c r="C18" s="8">
        <f>'Balance sheets'!E28</f>
        <v>3.5</v>
      </c>
      <c r="D18" s="11">
        <v>4.3</v>
      </c>
      <c r="E18" s="11">
        <v>2.1</v>
      </c>
      <c r="F18" s="2" t="s">
        <v>26</v>
      </c>
    </row>
    <row r="19" spans="2:6" x14ac:dyDescent="0.2">
      <c r="B19" s="7" t="s">
        <v>27</v>
      </c>
      <c r="C19" s="8">
        <f>'Balance sheets'!E9</f>
        <v>11</v>
      </c>
      <c r="D19" s="8">
        <f>C19</f>
        <v>11</v>
      </c>
      <c r="E19" s="8">
        <f t="shared" ref="E19:E21" si="0">$C19</f>
        <v>11</v>
      </c>
      <c r="F19" s="2" t="s">
        <v>15</v>
      </c>
    </row>
    <row r="20" spans="2:6" x14ac:dyDescent="0.2">
      <c r="B20" s="7" t="s">
        <v>28</v>
      </c>
      <c r="C20" s="8">
        <f>'Balance sheets'!E14</f>
        <v>10</v>
      </c>
      <c r="D20" s="8">
        <f>C20</f>
        <v>10</v>
      </c>
      <c r="E20" s="8">
        <f t="shared" si="0"/>
        <v>10</v>
      </c>
      <c r="F20" s="2" t="s">
        <v>15</v>
      </c>
    </row>
    <row r="21" spans="2:6" x14ac:dyDescent="0.2">
      <c r="B21" s="7" t="s">
        <v>29</v>
      </c>
      <c r="C21" s="8">
        <f>'Balance sheets'!E12</f>
        <v>5</v>
      </c>
      <c r="D21" s="8">
        <f>C21</f>
        <v>5</v>
      </c>
      <c r="E21" s="8">
        <f t="shared" si="0"/>
        <v>5</v>
      </c>
      <c r="F21" s="2" t="s">
        <v>30</v>
      </c>
    </row>
    <row r="22" spans="2:6" x14ac:dyDescent="0.2">
      <c r="B22" s="7" t="s">
        <v>31</v>
      </c>
      <c r="C22" s="8">
        <f>'Balance sheets'!E13</f>
        <v>11.5</v>
      </c>
      <c r="D22" s="8"/>
      <c r="E22" s="8"/>
      <c r="F22" s="2"/>
    </row>
    <row r="24" spans="2:6" x14ac:dyDescent="0.2">
      <c r="B24" s="5" t="s">
        <v>32</v>
      </c>
      <c r="C24" s="6"/>
      <c r="D24" s="6"/>
      <c r="E24" s="6"/>
      <c r="F24" s="6"/>
    </row>
    <row r="25" spans="2:6" x14ac:dyDescent="0.2">
      <c r="B25" s="23" t="s">
        <v>105</v>
      </c>
      <c r="D25" s="8">
        <f>D6*(1+D7)</f>
        <v>100</v>
      </c>
      <c r="E25" s="8">
        <f>E6*(1+E7)</f>
        <v>92</v>
      </c>
    </row>
    <row r="26" spans="2:6" x14ac:dyDescent="0.2">
      <c r="B26" s="23" t="s">
        <v>102</v>
      </c>
      <c r="D26" s="8">
        <f>-D25*D8</f>
        <v>-85</v>
      </c>
      <c r="E26" s="8">
        <f>-E25*E8</f>
        <v>-78.2</v>
      </c>
    </row>
    <row r="27" spans="2:6" x14ac:dyDescent="0.2">
      <c r="B27" s="20" t="s">
        <v>35</v>
      </c>
      <c r="C27" s="21"/>
      <c r="D27" s="22">
        <f>D25+D26</f>
        <v>15</v>
      </c>
      <c r="E27" s="8">
        <f>E25+E26</f>
        <v>13.799999999999997</v>
      </c>
    </row>
    <row r="28" spans="2:6" x14ac:dyDescent="0.2">
      <c r="B28" s="23" t="s">
        <v>101</v>
      </c>
      <c r="D28" s="8">
        <f>-D25*D9</f>
        <v>-8.125</v>
      </c>
      <c r="E28" s="8">
        <f>-E25*E9</f>
        <v>-7.452</v>
      </c>
    </row>
    <row r="29" spans="2:6" x14ac:dyDescent="0.2">
      <c r="B29" s="23" t="s">
        <v>103</v>
      </c>
      <c r="D29" s="8">
        <f>-D10</f>
        <v>-1.8369999999999997</v>
      </c>
      <c r="E29" s="8">
        <f>-E10</f>
        <v>-1.8369999999999997</v>
      </c>
    </row>
    <row r="30" spans="2:6" x14ac:dyDescent="0.2">
      <c r="B30" s="20" t="s">
        <v>36</v>
      </c>
      <c r="C30" s="21"/>
      <c r="D30" s="24">
        <f>D27+D28+D29</f>
        <v>5.0380000000000003</v>
      </c>
      <c r="E30" s="14">
        <f>E27+E28+E29</f>
        <v>4.5109999999999975</v>
      </c>
    </row>
    <row r="31" spans="2:6" x14ac:dyDescent="0.2">
      <c r="B31" s="23" t="s">
        <v>104</v>
      </c>
      <c r="D31" s="8">
        <f>-D11*D12</f>
        <v>-1.2044999999999999</v>
      </c>
      <c r="E31" s="8">
        <f>-E11*E12</f>
        <v>-1.2044999999999999</v>
      </c>
    </row>
    <row r="32" spans="2:6" x14ac:dyDescent="0.2">
      <c r="B32" s="20" t="s">
        <v>37</v>
      </c>
      <c r="C32" s="21"/>
      <c r="D32" s="22">
        <f>D30+D31</f>
        <v>3.8335000000000004</v>
      </c>
      <c r="E32" s="8">
        <f>E30+E31</f>
        <v>3.3064999999999976</v>
      </c>
    </row>
    <row r="33" spans="2:6" x14ac:dyDescent="0.2">
      <c r="B33" s="23" t="s">
        <v>106</v>
      </c>
      <c r="D33" s="8">
        <f>-D32*D13</f>
        <v>-0.95837500000000009</v>
      </c>
      <c r="E33" s="8">
        <f>-E32*E13</f>
        <v>-0.82662499999999939</v>
      </c>
    </row>
    <row r="34" spans="2:6" x14ac:dyDescent="0.2">
      <c r="B34" s="20" t="s">
        <v>39</v>
      </c>
      <c r="D34" s="14">
        <f>D32+D33</f>
        <v>2.8751250000000002</v>
      </c>
      <c r="E34" s="14">
        <f>E32+E33</f>
        <v>2.4798749999999981</v>
      </c>
    </row>
    <row r="36" spans="2:6" x14ac:dyDescent="0.2">
      <c r="B36" s="5" t="s">
        <v>40</v>
      </c>
      <c r="C36" s="6"/>
      <c r="D36" s="6"/>
      <c r="E36" s="6"/>
      <c r="F36" s="6"/>
    </row>
    <row r="37" spans="2:6" x14ac:dyDescent="0.2">
      <c r="B37" s="23" t="s">
        <v>110</v>
      </c>
      <c r="D37" s="8">
        <f>D25*D14</f>
        <v>0.625</v>
      </c>
      <c r="E37" s="8">
        <f>E25*E14</f>
        <v>0.57500000000000007</v>
      </c>
    </row>
    <row r="38" spans="2:6" x14ac:dyDescent="0.2">
      <c r="B38" s="23" t="s">
        <v>109</v>
      </c>
      <c r="D38" s="8">
        <f>D25*D15/365</f>
        <v>10.95890410958904</v>
      </c>
      <c r="E38" s="8">
        <f>E25*E15/365</f>
        <v>10.082191780821917</v>
      </c>
    </row>
    <row r="39" spans="2:6" x14ac:dyDescent="0.2">
      <c r="B39" s="23" t="s">
        <v>111</v>
      </c>
      <c r="D39" s="8">
        <f>-D26*D16/365</f>
        <v>11.625</v>
      </c>
      <c r="E39" s="8">
        <f>-E26*E16/365</f>
        <v>7.4986301369863018</v>
      </c>
    </row>
    <row r="40" spans="2:6" x14ac:dyDescent="0.2">
      <c r="B40" s="23" t="s">
        <v>107</v>
      </c>
      <c r="D40" s="8">
        <f>D19+D18+D29</f>
        <v>13.463000000000001</v>
      </c>
      <c r="E40" s="8">
        <f>E19+E18+E29</f>
        <v>11.263</v>
      </c>
    </row>
    <row r="41" spans="2:6" x14ac:dyDescent="0.2">
      <c r="B41" s="20" t="s">
        <v>44</v>
      </c>
      <c r="D41" s="14">
        <f>SUM(D37:D40)</f>
        <v>36.671904109589043</v>
      </c>
      <c r="E41" s="14">
        <f>SUM(E37:E40)</f>
        <v>29.418821917808216</v>
      </c>
    </row>
    <row r="42" spans="2:6" x14ac:dyDescent="0.2">
      <c r="B42" s="23" t="s">
        <v>112</v>
      </c>
      <c r="D42" s="8">
        <f>-D26*D17/365</f>
        <v>9.375</v>
      </c>
      <c r="E42" s="8">
        <f>-E26*E17/365</f>
        <v>10.712328767123287</v>
      </c>
    </row>
    <row r="43" spans="2:6" x14ac:dyDescent="0.2">
      <c r="B43" s="23" t="s">
        <v>113</v>
      </c>
      <c r="D43" s="8">
        <f>D21</f>
        <v>5</v>
      </c>
      <c r="E43" s="8">
        <f>E21</f>
        <v>5</v>
      </c>
    </row>
    <row r="44" spans="2:6" x14ac:dyDescent="0.2">
      <c r="B44" s="23" t="s">
        <v>114</v>
      </c>
      <c r="D44" s="8">
        <f>C22</f>
        <v>11.5</v>
      </c>
      <c r="E44" s="8"/>
    </row>
    <row r="45" spans="2:6" x14ac:dyDescent="0.2">
      <c r="B45" s="23" t="s">
        <v>108</v>
      </c>
      <c r="D45" s="8">
        <f>D20+D34</f>
        <v>12.875125000000001</v>
      </c>
      <c r="E45" s="8">
        <f>E20+E34</f>
        <v>12.479874999999998</v>
      </c>
    </row>
    <row r="46" spans="2:6" x14ac:dyDescent="0.2">
      <c r="B46" s="7" t="s">
        <v>47</v>
      </c>
      <c r="D46" s="8">
        <f>SUM(D42:D45)</f>
        <v>38.750124999999997</v>
      </c>
      <c r="E46" s="8">
        <f>SUM(E42:E45)</f>
        <v>28.192203767123285</v>
      </c>
    </row>
    <row r="47" spans="2:6" x14ac:dyDescent="0.2">
      <c r="B47" s="23" t="s">
        <v>115</v>
      </c>
      <c r="D47" s="25">
        <f>D46-D41</f>
        <v>2.0782208904109538</v>
      </c>
      <c r="E47" s="14">
        <f>E41-E46</f>
        <v>1.2266181506849314</v>
      </c>
    </row>
    <row r="49" spans="2:7" x14ac:dyDescent="0.2">
      <c r="B49" s="7" t="s">
        <v>48</v>
      </c>
      <c r="E49" s="8">
        <f>D34-E34</f>
        <v>0.3952500000000021</v>
      </c>
    </row>
    <row r="50" spans="2:7" x14ac:dyDescent="0.2">
      <c r="B50" s="7" t="s">
        <v>49</v>
      </c>
      <c r="E50" s="8">
        <f>E47-D47</f>
        <v>-0.85160273972602241</v>
      </c>
    </row>
    <row r="51" spans="2:7" x14ac:dyDescent="0.2">
      <c r="B51" s="7" t="s">
        <v>50</v>
      </c>
      <c r="E51" s="15">
        <f>E50/E49</f>
        <v>-2.1545926368779704</v>
      </c>
    </row>
    <row r="53" spans="2:7" x14ac:dyDescent="0.2">
      <c r="B53" s="5" t="s">
        <v>51</v>
      </c>
      <c r="C53" s="6"/>
      <c r="D53" s="6"/>
      <c r="E53" s="6"/>
      <c r="F53" s="6"/>
    </row>
    <row r="54" spans="2:7" x14ac:dyDescent="0.2">
      <c r="B54" s="26">
        <f>D47</f>
        <v>2.0782208904109538</v>
      </c>
      <c r="C54">
        <v>70</v>
      </c>
      <c r="D54">
        <v>60</v>
      </c>
      <c r="E54">
        <v>50</v>
      </c>
      <c r="F54">
        <v>50</v>
      </c>
      <c r="G54">
        <v>40</v>
      </c>
    </row>
    <row r="55" spans="2:7" x14ac:dyDescent="0.2">
      <c r="B55">
        <v>60</v>
      </c>
      <c r="C55" s="26">
        <f t="dataTable" ref="C55:G57" dt2D="1" dtr="1" r1="D16" r2="D15"/>
        <v>-8.0776010273972645</v>
      </c>
      <c r="D55">
        <v>-5.7488339041095955</v>
      </c>
      <c r="E55">
        <v>-3.4200667808219265</v>
      </c>
      <c r="F55">
        <v>-3.4200667808219265</v>
      </c>
      <c r="G55">
        <v>-1.0912996575342504</v>
      </c>
    </row>
    <row r="56" spans="2:7" x14ac:dyDescent="0.2">
      <c r="B56">
        <v>50</v>
      </c>
      <c r="C56">
        <v>-5.3378750000000039</v>
      </c>
      <c r="D56">
        <v>-3.0091078767123349</v>
      </c>
      <c r="E56">
        <v>-0.68034075342465883</v>
      </c>
      <c r="F56">
        <v>-0.68034075342465883</v>
      </c>
      <c r="G56">
        <v>1.6484263698630102</v>
      </c>
    </row>
    <row r="57" spans="2:7" x14ac:dyDescent="0.2">
      <c r="B57">
        <v>40</v>
      </c>
      <c r="C57">
        <v>-2.5981489726027434</v>
      </c>
      <c r="D57">
        <v>-0.26938184931507436</v>
      </c>
      <c r="E57">
        <v>2.0593852739726017</v>
      </c>
      <c r="F57">
        <v>2.0593852739726017</v>
      </c>
      <c r="G57">
        <v>4.3881523972602707</v>
      </c>
    </row>
  </sheetData>
  <pageMargins left="0.75" right="0.75" top="1" bottom="1" header="0.5" footer="0.5"/>
  <ignoredErrors>
    <ignoredError sqref="D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6427-E692-4FC3-BFB4-9166914DE476}">
  <dimension ref="A1"/>
  <sheetViews>
    <sheetView workbookViewId="0">
      <selection sqref="A1:XFD1048576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2"/>
  <sheetViews>
    <sheetView showGridLines="0" topLeftCell="A5" zoomScale="160" zoomScaleNormal="160" workbookViewId="0">
      <selection activeCell="K22" sqref="K22"/>
    </sheetView>
  </sheetViews>
  <sheetFormatPr baseColWidth="10" defaultColWidth="8.83203125" defaultRowHeight="15" x14ac:dyDescent="0.2"/>
  <cols>
    <col min="2" max="2" width="46" customWidth="1"/>
    <col min="3" max="6" width="14" customWidth="1"/>
  </cols>
  <sheetData>
    <row r="1" spans="2:6" ht="20" x14ac:dyDescent="0.25">
      <c r="B1" s="1" t="s">
        <v>52</v>
      </c>
    </row>
    <row r="2" spans="2:6" x14ac:dyDescent="0.2">
      <c r="B2" s="2" t="s">
        <v>53</v>
      </c>
    </row>
    <row r="4" spans="2:6" x14ac:dyDescent="0.2">
      <c r="C4" s="3" t="s">
        <v>54</v>
      </c>
      <c r="D4" s="3" t="s">
        <v>55</v>
      </c>
      <c r="E4" s="3" t="s">
        <v>56</v>
      </c>
    </row>
    <row r="5" spans="2:6" x14ac:dyDescent="0.2">
      <c r="B5" s="5" t="s">
        <v>57</v>
      </c>
      <c r="C5" s="6"/>
      <c r="D5" s="6"/>
      <c r="E5" s="6"/>
      <c r="F5" s="6"/>
    </row>
    <row r="6" spans="2:6" x14ac:dyDescent="0.2">
      <c r="B6" s="7" t="s">
        <v>33</v>
      </c>
      <c r="C6" s="11">
        <v>40</v>
      </c>
      <c r="D6" s="11">
        <v>60</v>
      </c>
      <c r="E6" s="11">
        <v>80</v>
      </c>
    </row>
    <row r="7" spans="2:6" x14ac:dyDescent="0.2">
      <c r="B7" s="7" t="s">
        <v>34</v>
      </c>
      <c r="C7" s="11">
        <v>-34</v>
      </c>
      <c r="D7" s="11">
        <v>-51</v>
      </c>
      <c r="E7" s="11">
        <v>-68</v>
      </c>
    </row>
    <row r="8" spans="2:6" x14ac:dyDescent="0.2">
      <c r="B8" s="17" t="s">
        <v>35</v>
      </c>
      <c r="C8" s="14">
        <f>C6+C7</f>
        <v>6</v>
      </c>
      <c r="D8" s="14">
        <f>D6+D7</f>
        <v>9</v>
      </c>
      <c r="E8" s="14">
        <f>E6+E7</f>
        <v>12</v>
      </c>
    </row>
    <row r="9" spans="2:6" x14ac:dyDescent="0.2">
      <c r="B9" s="7" t="s">
        <v>58</v>
      </c>
      <c r="C9" s="11">
        <v>-3</v>
      </c>
      <c r="D9" s="11">
        <v>-4.8</v>
      </c>
      <c r="E9" s="11">
        <v>-6.5</v>
      </c>
    </row>
    <row r="10" spans="2:6" x14ac:dyDescent="0.2">
      <c r="B10" s="7" t="s">
        <v>12</v>
      </c>
      <c r="C10" s="11">
        <v>-1</v>
      </c>
      <c r="D10" s="11">
        <v>-1.2</v>
      </c>
      <c r="E10" s="11">
        <v>-1.5</v>
      </c>
    </row>
    <row r="11" spans="2:6" x14ac:dyDescent="0.2">
      <c r="B11" s="17" t="s">
        <v>36</v>
      </c>
      <c r="C11" s="14">
        <f>C8+C9+C10</f>
        <v>2</v>
      </c>
      <c r="D11" s="14">
        <f>D8+D9+D10</f>
        <v>3</v>
      </c>
      <c r="E11" s="14">
        <f>E8+E9+E10</f>
        <v>4</v>
      </c>
    </row>
    <row r="12" spans="2:6" x14ac:dyDescent="0.2">
      <c r="B12" s="7" t="s">
        <v>59</v>
      </c>
      <c r="C12" s="11">
        <v>-0.4</v>
      </c>
      <c r="D12" s="11">
        <v>-0.8</v>
      </c>
      <c r="E12" s="11">
        <v>-1.2</v>
      </c>
    </row>
    <row r="13" spans="2:6" x14ac:dyDescent="0.2">
      <c r="B13" s="7" t="s">
        <v>37</v>
      </c>
      <c r="C13" s="8">
        <f>C11+C12</f>
        <v>1.6</v>
      </c>
      <c r="D13" s="8">
        <f>D11+D12</f>
        <v>2.2000000000000002</v>
      </c>
      <c r="E13" s="8">
        <f>E11+E12</f>
        <v>2.8</v>
      </c>
    </row>
    <row r="14" spans="2:6" x14ac:dyDescent="0.2">
      <c r="B14" s="7" t="s">
        <v>38</v>
      </c>
      <c r="C14" s="11">
        <v>-0.4</v>
      </c>
      <c r="D14" s="11">
        <v>-0.55000000000000004</v>
      </c>
      <c r="E14" s="11">
        <v>-0.7</v>
      </c>
    </row>
    <row r="15" spans="2:6" x14ac:dyDescent="0.2">
      <c r="B15" s="17" t="s">
        <v>39</v>
      </c>
      <c r="C15" s="14">
        <f>C13+C14</f>
        <v>1.2000000000000002</v>
      </c>
      <c r="D15" s="14">
        <f>D13+D14</f>
        <v>1.6500000000000001</v>
      </c>
      <c r="E15" s="14">
        <f>E13+E14</f>
        <v>2.0999999999999996</v>
      </c>
    </row>
    <row r="17" spans="2:6" x14ac:dyDescent="0.2">
      <c r="B17" s="5" t="s">
        <v>60</v>
      </c>
      <c r="C17" s="6"/>
      <c r="D17" s="6"/>
      <c r="E17" s="6"/>
      <c r="F17" s="18" t="s">
        <v>61</v>
      </c>
    </row>
    <row r="18" spans="2:6" x14ac:dyDescent="0.2">
      <c r="B18" s="7" t="s">
        <v>62</v>
      </c>
      <c r="D18" s="9">
        <f>D6/C6-1</f>
        <v>0.5</v>
      </c>
      <c r="E18" s="9">
        <f>E6/D6-1</f>
        <v>0.33333333333333326</v>
      </c>
    </row>
    <row r="19" spans="2:6" x14ac:dyDescent="0.2">
      <c r="B19" s="7" t="s">
        <v>63</v>
      </c>
      <c r="C19" s="9">
        <f>-C7/C6</f>
        <v>0.85</v>
      </c>
      <c r="D19" s="9">
        <f>-D7/D6</f>
        <v>0.85</v>
      </c>
      <c r="E19" s="9">
        <f>-E7/E6</f>
        <v>0.85</v>
      </c>
      <c r="F19" s="9">
        <f>AVERAGE(C19:E19)</f>
        <v>0.85</v>
      </c>
    </row>
    <row r="20" spans="2:6" x14ac:dyDescent="0.2">
      <c r="B20" s="7" t="s">
        <v>64</v>
      </c>
      <c r="C20" s="9">
        <f>C8/C6</f>
        <v>0.15</v>
      </c>
      <c r="D20" s="9">
        <f>D8/D6</f>
        <v>0.15</v>
      </c>
      <c r="E20" s="9">
        <f>E8/E6</f>
        <v>0.15</v>
      </c>
      <c r="F20" s="9">
        <f>AVERAGE(C20:E20)</f>
        <v>0.15</v>
      </c>
    </row>
    <row r="21" spans="2:6" x14ac:dyDescent="0.2">
      <c r="B21" s="7" t="s">
        <v>65</v>
      </c>
      <c r="C21" s="19">
        <f>-C9/C6</f>
        <v>7.4999999999999997E-2</v>
      </c>
      <c r="D21" s="19">
        <f>-D9/D6</f>
        <v>0.08</v>
      </c>
      <c r="E21" s="19">
        <f>-E9/E6</f>
        <v>8.1250000000000003E-2</v>
      </c>
      <c r="F21" s="19">
        <f>AVERAGE(C21:E21)</f>
        <v>7.8750000000000001E-2</v>
      </c>
    </row>
    <row r="22" spans="2:6" x14ac:dyDescent="0.2">
      <c r="B22" s="7" t="s">
        <v>68</v>
      </c>
      <c r="C22" s="9">
        <f>-C14/C13</f>
        <v>0.25</v>
      </c>
      <c r="D22" s="9">
        <f>-D14/D13</f>
        <v>0.25</v>
      </c>
      <c r="E22" s="9">
        <f>-E14/E13</f>
        <v>0.25</v>
      </c>
      <c r="F22" s="9">
        <f>AVERAGE(C22:E22)</f>
        <v>0.25</v>
      </c>
    </row>
    <row r="23" spans="2:6" x14ac:dyDescent="0.2">
      <c r="B23" s="7" t="s">
        <v>69</v>
      </c>
      <c r="C23" s="19">
        <f>C15/C6</f>
        <v>3.0000000000000006E-2</v>
      </c>
      <c r="D23" s="19">
        <f>D15/D6</f>
        <v>2.7500000000000004E-2</v>
      </c>
      <c r="E23" s="19">
        <f>E15/E6</f>
        <v>2.6249999999999996E-2</v>
      </c>
      <c r="F23" s="19">
        <f>AVERAGE(C23:E23)</f>
        <v>2.7916666666666669E-2</v>
      </c>
    </row>
    <row r="25" spans="2:6" x14ac:dyDescent="0.2">
      <c r="B25" s="7" t="s">
        <v>66</v>
      </c>
      <c r="D25" s="9">
        <f>-D10/'Balance sheets'!C9</f>
        <v>0.16216216216216214</v>
      </c>
      <c r="E25" s="9">
        <f>-E10/'Balance sheets'!D9</f>
        <v>0.16666666666666666</v>
      </c>
    </row>
    <row r="26" spans="2:6" x14ac:dyDescent="0.2">
      <c r="B26" s="7" t="s">
        <v>67</v>
      </c>
      <c r="C26" s="9">
        <f>-C12/'Balance sheets'!C27</f>
        <v>0.08</v>
      </c>
      <c r="D26" s="9">
        <f>-D12/'Balance sheets'!D27</f>
        <v>8.5106382978723402E-2</v>
      </c>
      <c r="E26" s="9">
        <f>-E12/'Balance sheets'!E27</f>
        <v>7.2727272727272724E-2</v>
      </c>
      <c r="F26" s="9">
        <f>AVERAGE(C26:E26)</f>
        <v>7.9277885235332038E-2</v>
      </c>
    </row>
    <row r="28" spans="2:6" x14ac:dyDescent="0.2">
      <c r="B28" s="16" t="s">
        <v>70</v>
      </c>
    </row>
    <row r="29" spans="2:6" x14ac:dyDescent="0.2">
      <c r="B29" s="16" t="s">
        <v>71</v>
      </c>
    </row>
    <row r="30" spans="2:6" x14ac:dyDescent="0.2">
      <c r="B30" s="16" t="s">
        <v>72</v>
      </c>
    </row>
    <row r="31" spans="2:6" x14ac:dyDescent="0.2">
      <c r="B31" s="16" t="s">
        <v>73</v>
      </c>
    </row>
    <row r="32" spans="2:6" x14ac:dyDescent="0.2">
      <c r="B32" s="16" t="s">
        <v>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3"/>
  <sheetViews>
    <sheetView showGridLines="0" topLeftCell="A18" zoomScale="175" zoomScaleNormal="175" workbookViewId="0">
      <selection activeCell="E29" sqref="E29"/>
    </sheetView>
  </sheetViews>
  <sheetFormatPr baseColWidth="10" defaultColWidth="8.83203125" defaultRowHeight="15" x14ac:dyDescent="0.2"/>
  <cols>
    <col min="2" max="2" width="46" customWidth="1"/>
    <col min="3" max="6" width="14" customWidth="1"/>
  </cols>
  <sheetData>
    <row r="1" spans="2:6" ht="20" x14ac:dyDescent="0.25">
      <c r="B1" s="1" t="s">
        <v>75</v>
      </c>
    </row>
    <row r="2" spans="2:6" x14ac:dyDescent="0.2">
      <c r="B2" s="2" t="s">
        <v>76</v>
      </c>
    </row>
    <row r="4" spans="2:6" x14ac:dyDescent="0.2">
      <c r="C4" s="3" t="s">
        <v>54</v>
      </c>
      <c r="D4" s="3" t="s">
        <v>55</v>
      </c>
      <c r="E4" s="3" t="s">
        <v>56</v>
      </c>
    </row>
    <row r="5" spans="2:6" x14ac:dyDescent="0.2">
      <c r="B5" s="5" t="s">
        <v>77</v>
      </c>
      <c r="C5" s="6"/>
      <c r="D5" s="6"/>
      <c r="E5" s="6"/>
      <c r="F5" s="6"/>
    </row>
    <row r="6" spans="2:6" x14ac:dyDescent="0.2">
      <c r="B6" s="7" t="s">
        <v>41</v>
      </c>
      <c r="C6" s="11">
        <v>1.5</v>
      </c>
      <c r="D6" s="11">
        <v>1</v>
      </c>
      <c r="E6" s="11">
        <v>0.5</v>
      </c>
    </row>
    <row r="7" spans="2:6" x14ac:dyDescent="0.2">
      <c r="B7" s="7" t="s">
        <v>78</v>
      </c>
      <c r="C7" s="11">
        <v>3.3</v>
      </c>
      <c r="D7" s="11">
        <v>7.4</v>
      </c>
      <c r="E7" s="11">
        <v>13.2</v>
      </c>
    </row>
    <row r="8" spans="2:6" x14ac:dyDescent="0.2">
      <c r="B8" s="7" t="s">
        <v>42</v>
      </c>
      <c r="C8" s="11">
        <v>2.8</v>
      </c>
      <c r="D8" s="11">
        <v>5.6</v>
      </c>
      <c r="E8" s="11">
        <v>9.3000000000000007</v>
      </c>
    </row>
    <row r="9" spans="2:6" x14ac:dyDescent="0.2">
      <c r="B9" s="7" t="s">
        <v>43</v>
      </c>
      <c r="C9" s="11">
        <v>7.4</v>
      </c>
      <c r="D9" s="11">
        <v>9</v>
      </c>
      <c r="E9" s="11">
        <v>11</v>
      </c>
    </row>
    <row r="10" spans="2:6" x14ac:dyDescent="0.2">
      <c r="B10" s="17" t="s">
        <v>44</v>
      </c>
      <c r="C10" s="14">
        <f>SUM(C6:C9)</f>
        <v>15</v>
      </c>
      <c r="D10" s="14">
        <f>SUM(D6:D9)</f>
        <v>23</v>
      </c>
      <c r="E10" s="14">
        <f>SUM(E6:E9)</f>
        <v>34</v>
      </c>
    </row>
    <row r="11" spans="2:6" x14ac:dyDescent="0.2">
      <c r="B11" s="7" t="s">
        <v>79</v>
      </c>
      <c r="C11" s="11">
        <v>3.7</v>
      </c>
      <c r="D11" s="11">
        <v>5.6</v>
      </c>
      <c r="E11" s="11">
        <v>7.5</v>
      </c>
    </row>
    <row r="12" spans="2:6" x14ac:dyDescent="0.2">
      <c r="B12" s="7" t="s">
        <v>45</v>
      </c>
      <c r="C12" s="11">
        <v>1</v>
      </c>
      <c r="D12" s="11">
        <v>2.5</v>
      </c>
      <c r="E12" s="11">
        <v>5</v>
      </c>
    </row>
    <row r="13" spans="2:6" x14ac:dyDescent="0.2">
      <c r="B13" s="7" t="s">
        <v>80</v>
      </c>
      <c r="C13" s="11">
        <v>4</v>
      </c>
      <c r="D13" s="11">
        <v>6.9</v>
      </c>
      <c r="E13" s="11">
        <v>11.5</v>
      </c>
    </row>
    <row r="14" spans="2:6" x14ac:dyDescent="0.2">
      <c r="B14" s="7" t="s">
        <v>46</v>
      </c>
      <c r="C14" s="11">
        <v>6.3</v>
      </c>
      <c r="D14" s="11">
        <v>8</v>
      </c>
      <c r="E14" s="11">
        <v>10</v>
      </c>
    </row>
    <row r="15" spans="2:6" x14ac:dyDescent="0.2">
      <c r="B15" s="17" t="s">
        <v>81</v>
      </c>
      <c r="C15" s="14">
        <f>SUM(C11:C14)</f>
        <v>15</v>
      </c>
      <c r="D15" s="14">
        <f>SUM(D11:D14)</f>
        <v>23</v>
      </c>
      <c r="E15" s="14">
        <f>SUM(E11:E14)</f>
        <v>34</v>
      </c>
    </row>
    <row r="16" spans="2:6" x14ac:dyDescent="0.2">
      <c r="B16" s="2" t="s">
        <v>82</v>
      </c>
      <c r="C16" s="8">
        <f>C10-C15</f>
        <v>0</v>
      </c>
      <c r="D16" s="8">
        <f>D10-D15</f>
        <v>0</v>
      </c>
      <c r="E16" s="8">
        <f>E10-E15</f>
        <v>0</v>
      </c>
    </row>
    <row r="18" spans="2:6" x14ac:dyDescent="0.2">
      <c r="B18" s="5" t="s">
        <v>83</v>
      </c>
      <c r="C18" s="6"/>
      <c r="D18" s="6"/>
      <c r="E18" s="6"/>
      <c r="F18" s="18" t="s">
        <v>61</v>
      </c>
    </row>
    <row r="19" spans="2:6" x14ac:dyDescent="0.2">
      <c r="B19" s="7" t="s">
        <v>84</v>
      </c>
      <c r="C19" s="12">
        <f>C7/'Income statements'!C6*365</f>
        <v>30.112499999999997</v>
      </c>
      <c r="D19" s="12">
        <f>D7/'Income statements'!D6*365</f>
        <v>45.016666666666666</v>
      </c>
      <c r="E19" s="12">
        <f>E7/'Income statements'!E6*365</f>
        <v>60.224999999999994</v>
      </c>
      <c r="F19" s="12">
        <f t="shared" ref="F19:F24" si="0">AVERAGE(C19:E19)</f>
        <v>45.11805555555555</v>
      </c>
    </row>
    <row r="20" spans="2:6" x14ac:dyDescent="0.2">
      <c r="B20" s="7" t="s">
        <v>85</v>
      </c>
      <c r="C20" s="12">
        <f>-C8/'Income statements'!C7*365</f>
        <v>30.058823529411764</v>
      </c>
      <c r="D20" s="12">
        <f>-D8/'Income statements'!D7*365</f>
        <v>40.078431372549019</v>
      </c>
      <c r="E20" s="12">
        <f>-E8/'Income statements'!E7*365</f>
        <v>49.919117647058826</v>
      </c>
      <c r="F20" s="12">
        <f t="shared" si="0"/>
        <v>40.018790849673202</v>
      </c>
    </row>
    <row r="21" spans="2:6" x14ac:dyDescent="0.2">
      <c r="B21" s="7" t="s">
        <v>86</v>
      </c>
      <c r="C21" s="12">
        <f>-C11/'Income statements'!C7*365</f>
        <v>39.720588235294116</v>
      </c>
      <c r="D21" s="12">
        <f>-D11/'Income statements'!D7*365</f>
        <v>40.078431372549019</v>
      </c>
      <c r="E21" s="12">
        <f>-E11/'Income statements'!E7*365</f>
        <v>40.257352941176471</v>
      </c>
      <c r="F21" s="12">
        <f t="shared" si="0"/>
        <v>40.018790849673202</v>
      </c>
    </row>
    <row r="22" spans="2:6" x14ac:dyDescent="0.2">
      <c r="B22" s="7" t="s">
        <v>87</v>
      </c>
      <c r="C22" s="12">
        <f>C19+C20-C21</f>
        <v>20.450735294117649</v>
      </c>
      <c r="D22" s="12">
        <f>D19+D20-D21</f>
        <v>45.016666666666666</v>
      </c>
      <c r="E22" s="12">
        <f>E19+E20-E21</f>
        <v>69.886764705882342</v>
      </c>
      <c r="F22" s="12">
        <f t="shared" si="0"/>
        <v>45.11805555555555</v>
      </c>
    </row>
    <row r="23" spans="2:6" x14ac:dyDescent="0.2">
      <c r="B23" s="7"/>
      <c r="C23" s="19"/>
      <c r="D23" s="19"/>
      <c r="E23" s="19"/>
      <c r="F23" s="19"/>
    </row>
    <row r="24" spans="2:6" x14ac:dyDescent="0.2">
      <c r="B24" s="7" t="s">
        <v>88</v>
      </c>
      <c r="C24" s="19">
        <f>C6/'Income statements'!C6</f>
        <v>3.7499999999999999E-2</v>
      </c>
      <c r="D24" s="19">
        <f>D6/'Income statements'!D6</f>
        <v>1.6666666666666666E-2</v>
      </c>
      <c r="E24" s="19">
        <f>E6/'Income statements'!E6</f>
        <v>6.2500000000000003E-3</v>
      </c>
      <c r="F24" s="19">
        <f t="shared" si="0"/>
        <v>2.013888888888889E-2</v>
      </c>
    </row>
    <row r="26" spans="2:6" x14ac:dyDescent="0.2">
      <c r="B26" s="5" t="s">
        <v>89</v>
      </c>
      <c r="C26" s="6"/>
      <c r="D26" s="6"/>
      <c r="E26" s="6"/>
      <c r="F26" s="6"/>
    </row>
    <row r="27" spans="2:6" x14ac:dyDescent="0.2">
      <c r="B27" s="7" t="s">
        <v>90</v>
      </c>
      <c r="C27" s="8">
        <f>C12+C13</f>
        <v>5</v>
      </c>
      <c r="D27" s="8">
        <f>D12+D13</f>
        <v>9.4</v>
      </c>
      <c r="E27" s="8">
        <f>E12+E13</f>
        <v>16.5</v>
      </c>
    </row>
    <row r="28" spans="2:6" x14ac:dyDescent="0.2">
      <c r="B28" s="7" t="s">
        <v>91</v>
      </c>
      <c r="D28" s="8">
        <f>D9-C9-'Income statements'!D10</f>
        <v>2.8</v>
      </c>
      <c r="E28" s="8">
        <f>E9-D9-'Income statements'!E10</f>
        <v>3.5</v>
      </c>
    </row>
    <row r="29" spans="2:6" x14ac:dyDescent="0.2">
      <c r="B29" s="7" t="s">
        <v>92</v>
      </c>
      <c r="D29" s="9">
        <f>(D14-C14)/C14</f>
        <v>0.26984126984126988</v>
      </c>
      <c r="E29" s="9">
        <f>(E14-D14)/D14</f>
        <v>0.25</v>
      </c>
    </row>
    <row r="31" spans="2:6" x14ac:dyDescent="0.2">
      <c r="B31" s="16" t="s">
        <v>93</v>
      </c>
    </row>
    <row r="32" spans="2:6" x14ac:dyDescent="0.2">
      <c r="B32" s="16" t="s">
        <v>94</v>
      </c>
    </row>
    <row r="33" spans="2:2" x14ac:dyDescent="0.2">
      <c r="B33" s="16" t="s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 forma (2)</vt:lpstr>
      <vt:lpstr>Pro forma</vt:lpstr>
      <vt:lpstr>Sheet1</vt:lpstr>
      <vt:lpstr>Income statements</vt:lpstr>
      <vt:lpstr>Balance sheets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Jason Kotter</cp:lastModifiedBy>
  <dcterms:created xsi:type="dcterms:W3CDTF">2026-09-18T21:46:08Z</dcterms:created>
  <dcterms:modified xsi:type="dcterms:W3CDTF">2026-09-26T17:56:23Z</dcterms:modified>
</cp:coreProperties>
</file>